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Excel Lookup Course\"/>
    </mc:Choice>
  </mc:AlternateContent>
  <bookViews>
    <workbookView xWindow="0" yWindow="0" windowWidth="19140" windowHeight="7980"/>
  </bookViews>
  <sheets>
    <sheet name="Price List" sheetId="2" r:id="rId1"/>
    <sheet name="Temperature" sheetId="3" r:id="rId2"/>
    <sheet name="Student Grades" sheetId="7" r:id="rId3"/>
    <sheet name="Sales" sheetId="10" r:id="rId4"/>
    <sheet name="Wind Scale" sheetId="4" r:id="rId5"/>
    <sheet name="2 way table" sheetId="5" r:id="rId6"/>
    <sheet name="Servicing" sheetId="8" r:id="rId7"/>
    <sheet name="Purchase Order" sheetId="11" r:id="rId8"/>
    <sheet name="Customers" sheetId="12" r:id="rId9"/>
    <sheet name="Products" sheetId="13" r:id="rId10"/>
    <sheet name="Transpose" sheetId="1" r:id="rId11"/>
    <sheet name="Arrays" sheetId="6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C4" i="6"/>
  <c r="E23" i="11" l="1"/>
  <c r="E22" i="11"/>
  <c r="E21" i="11"/>
  <c r="E20" i="11"/>
  <c r="E19" i="11"/>
  <c r="E18" i="11"/>
  <c r="B5" i="2" l="1"/>
  <c r="B6" i="4" l="1"/>
  <c r="B5" i="4"/>
  <c r="B8" i="1" a="1"/>
  <c r="B8" i="1" s="1"/>
  <c r="H22" i="11"/>
  <c r="H21" i="11"/>
  <c r="H20" i="11"/>
  <c r="G22" i="11"/>
  <c r="F22" i="11"/>
  <c r="G21" i="11"/>
  <c r="F21" i="11"/>
  <c r="G20" i="11"/>
  <c r="F20" i="11"/>
  <c r="G19" i="11"/>
  <c r="F19" i="11"/>
  <c r="G18" i="11"/>
  <c r="F18" i="11"/>
  <c r="D10" i="11"/>
  <c r="D11" i="11"/>
  <c r="D12" i="11"/>
  <c r="D13" i="11"/>
  <c r="D14" i="11"/>
  <c r="C13" i="1" l="1"/>
  <c r="C11" i="1"/>
  <c r="B13" i="1"/>
  <c r="B9" i="1"/>
  <c r="C12" i="1"/>
  <c r="C10" i="1"/>
  <c r="C8" i="1"/>
  <c r="C9" i="1"/>
  <c r="B11" i="1"/>
  <c r="B12" i="1"/>
  <c r="B10" i="1"/>
  <c r="H19" i="11"/>
  <c r="H18" i="11"/>
  <c r="D13" i="8"/>
  <c r="E13" i="8" s="1"/>
  <c r="F13" i="8" s="1"/>
  <c r="F18" i="10"/>
  <c r="C4" i="10" s="1"/>
  <c r="G18" i="10"/>
  <c r="H24" i="11" l="1"/>
  <c r="E18" i="10"/>
  <c r="D18" i="10"/>
  <c r="C18" i="10"/>
  <c r="B18" i="10"/>
  <c r="E2" i="8"/>
  <c r="D12" i="8"/>
  <c r="E12" i="8" s="1"/>
  <c r="F12" i="8" s="1"/>
  <c r="D11" i="8"/>
  <c r="E11" i="8" s="1"/>
  <c r="F11" i="8" s="1"/>
  <c r="D10" i="8"/>
  <c r="E10" i="8" s="1"/>
  <c r="F10" i="8" s="1"/>
  <c r="D9" i="8"/>
  <c r="E9" i="8" s="1"/>
  <c r="F9" i="8" s="1"/>
  <c r="D8" i="8"/>
  <c r="E8" i="8" s="1"/>
  <c r="F8" i="8" s="1"/>
  <c r="D7" i="8"/>
  <c r="E7" i="8" s="1"/>
  <c r="F7" i="8" s="1"/>
  <c r="D8" i="7"/>
  <c r="D7" i="7"/>
  <c r="D4" i="7"/>
  <c r="D5" i="7"/>
  <c r="D6" i="7"/>
  <c r="B6" i="2" l="1"/>
  <c r="B4" i="2"/>
  <c r="G5" i="5"/>
  <c r="C7" i="5" s="1"/>
  <c r="G6" i="5"/>
  <c r="C8" i="5" l="1"/>
  <c r="C9" i="5" s="1"/>
  <c r="D6" i="3"/>
</calcChain>
</file>

<file path=xl/sharedStrings.xml><?xml version="1.0" encoding="utf-8"?>
<sst xmlns="http://schemas.openxmlformats.org/spreadsheetml/2006/main" count="225" uniqueCount="167">
  <si>
    <t>Malcolm</t>
  </si>
  <si>
    <t>James</t>
  </si>
  <si>
    <t>Product</t>
  </si>
  <si>
    <t>Unit Price</t>
  </si>
  <si>
    <t>Orange Marmalade</t>
  </si>
  <si>
    <t>Pack Size</t>
  </si>
  <si>
    <t>RJ101</t>
  </si>
  <si>
    <t>OM25</t>
  </si>
  <si>
    <t>SM38</t>
  </si>
  <si>
    <t>GP20</t>
  </si>
  <si>
    <t>SJ100</t>
  </si>
  <si>
    <t>BC12</t>
  </si>
  <si>
    <t>Raspberry Jam</t>
  </si>
  <si>
    <t>Seville Marmalade</t>
  </si>
  <si>
    <t>Grapefruit Marmalade</t>
  </si>
  <si>
    <t>Strawberry Conserve</t>
  </si>
  <si>
    <t>Blackcurrant Jam</t>
  </si>
  <si>
    <t>Product ID</t>
  </si>
  <si>
    <t>Respiratory Rick</t>
  </si>
  <si>
    <t>Cold</t>
  </si>
  <si>
    <t>Comfortable</t>
  </si>
  <si>
    <t>Ideal</t>
  </si>
  <si>
    <t>Too Hot</t>
  </si>
  <si>
    <t>Temperature</t>
  </si>
  <si>
    <t>Room Temperatures and the Elderly</t>
  </si>
  <si>
    <t>Calm</t>
  </si>
  <si>
    <t>Light Air</t>
  </si>
  <si>
    <t>Light Breeze</t>
  </si>
  <si>
    <t>Gentle Breeze</t>
  </si>
  <si>
    <t>Moderate Breeze</t>
  </si>
  <si>
    <t>Fresh Breeze</t>
  </si>
  <si>
    <t>Strong Breeze</t>
  </si>
  <si>
    <t>Near Gale</t>
  </si>
  <si>
    <t>Gale</t>
  </si>
  <si>
    <t>Strong Gale</t>
  </si>
  <si>
    <t>Storm</t>
  </si>
  <si>
    <t>Violent Storm</t>
  </si>
  <si>
    <t>Hurricane Force</t>
  </si>
  <si>
    <t>Beaufort Wind Scale</t>
  </si>
  <si>
    <t>Description</t>
  </si>
  <si>
    <t>MPH</t>
  </si>
  <si>
    <t>Price</t>
  </si>
  <si>
    <t>Value</t>
  </si>
  <si>
    <t>Volume</t>
  </si>
  <si>
    <t>Row</t>
  </si>
  <si>
    <t>Column</t>
  </si>
  <si>
    <t>Grade</t>
  </si>
  <si>
    <t>Score</t>
  </si>
  <si>
    <t>Percentage</t>
  </si>
  <si>
    <t>A</t>
  </si>
  <si>
    <t>B</t>
  </si>
  <si>
    <t>C</t>
  </si>
  <si>
    <t>F</t>
  </si>
  <si>
    <t>E</t>
  </si>
  <si>
    <t>D</t>
  </si>
  <si>
    <t>Student</t>
  </si>
  <si>
    <t>Heather</t>
  </si>
  <si>
    <t>Jim</t>
  </si>
  <si>
    <t>Sally</t>
  </si>
  <si>
    <t>Claire</t>
  </si>
  <si>
    <t>Client</t>
  </si>
  <si>
    <t>Servicing Periods</t>
  </si>
  <si>
    <t>Part</t>
  </si>
  <si>
    <t>Boiler</t>
  </si>
  <si>
    <t>Pump</t>
  </si>
  <si>
    <t>Valve</t>
  </si>
  <si>
    <t>Radiator</t>
  </si>
  <si>
    <t>Servicing Period (Days)</t>
  </si>
  <si>
    <t>Date Last Checked</t>
  </si>
  <si>
    <t>Next Check</t>
  </si>
  <si>
    <t>Action</t>
  </si>
  <si>
    <t>Actions</t>
  </si>
  <si>
    <t>Days</t>
  </si>
  <si>
    <t>Service Required</t>
  </si>
  <si>
    <t>Service Overdue</t>
  </si>
  <si>
    <t>Critical Service Required</t>
  </si>
  <si>
    <t>Today</t>
  </si>
  <si>
    <t>Days to Service</t>
  </si>
  <si>
    <t>Hazards Ltd</t>
  </si>
  <si>
    <t>Toy Store</t>
  </si>
  <si>
    <t>Remove from Service Contract</t>
  </si>
  <si>
    <t>OK</t>
  </si>
  <si>
    <t>Make Book - Service Due</t>
  </si>
  <si>
    <t>Cambridge</t>
  </si>
  <si>
    <t>Cornwall</t>
  </si>
  <si>
    <t>East Sussex</t>
  </si>
  <si>
    <t>Essex</t>
  </si>
  <si>
    <t>Kent</t>
  </si>
  <si>
    <t>London</t>
  </si>
  <si>
    <t>Manchester</t>
  </si>
  <si>
    <t>Suffolk</t>
  </si>
  <si>
    <t>Grand total</t>
  </si>
  <si>
    <t>County</t>
  </si>
  <si>
    <t>Year</t>
  </si>
  <si>
    <t>Result</t>
  </si>
  <si>
    <t>Gym House Ltd</t>
  </si>
  <si>
    <t>Customer ID</t>
  </si>
  <si>
    <t>Contact</t>
  </si>
  <si>
    <t>Company</t>
  </si>
  <si>
    <t>Address 1</t>
  </si>
  <si>
    <t>Address 2</t>
  </si>
  <si>
    <t>Address 3</t>
  </si>
  <si>
    <t>John Smith</t>
  </si>
  <si>
    <t>James Jones</t>
  </si>
  <si>
    <t>Sarah Jordan</t>
  </si>
  <si>
    <t>Tina Tithe</t>
  </si>
  <si>
    <t>Whitstable Grocers</t>
  </si>
  <si>
    <t>23 London Road</t>
  </si>
  <si>
    <t>12 George Street</t>
  </si>
  <si>
    <t>244 High Street</t>
  </si>
  <si>
    <t>Whitstable</t>
  </si>
  <si>
    <t>Broadstairs</t>
  </si>
  <si>
    <t>Sandwich</t>
  </si>
  <si>
    <t>Ramsgate</t>
  </si>
  <si>
    <t>Dover</t>
  </si>
  <si>
    <t>CT23 9LE</t>
  </si>
  <si>
    <t>BR23 8KL</t>
  </si>
  <si>
    <t>CT12 7KL</t>
  </si>
  <si>
    <t>CT21 8GH</t>
  </si>
  <si>
    <t>BR12 3GH</t>
  </si>
  <si>
    <t>244 St Andrews Road</t>
  </si>
  <si>
    <t>34 Sandwich Road</t>
  </si>
  <si>
    <t>The Food Store</t>
  </si>
  <si>
    <t>The Sandwich Shop</t>
  </si>
  <si>
    <t>PURCHASE ORDER</t>
  </si>
  <si>
    <t>Product Code</t>
  </si>
  <si>
    <t>No Of Packs</t>
  </si>
  <si>
    <t>Total</t>
  </si>
  <si>
    <t>PO 0023</t>
  </si>
  <si>
    <t xml:space="preserve">PO Number: </t>
  </si>
  <si>
    <t xml:space="preserve">Date: </t>
  </si>
  <si>
    <t>Customer ID:</t>
  </si>
  <si>
    <t>Risk Factor:</t>
  </si>
  <si>
    <t>Description:</t>
  </si>
  <si>
    <t>Speed MPH:</t>
  </si>
  <si>
    <t>Address:</t>
  </si>
  <si>
    <t>Amount</t>
  </si>
  <si>
    <t>Tim</t>
  </si>
  <si>
    <t>Cardiovascular Risk</t>
  </si>
  <si>
    <t>Gordon Frane</t>
  </si>
  <si>
    <t>Sarah's Deli</t>
  </si>
  <si>
    <t>Jimmy</t>
  </si>
  <si>
    <t>Sarah</t>
  </si>
  <si>
    <t>Servicing Schedule</t>
  </si>
  <si>
    <t>P001</t>
  </si>
  <si>
    <t>P002</t>
  </si>
  <si>
    <t>P003</t>
  </si>
  <si>
    <t>P004</t>
  </si>
  <si>
    <t>P005</t>
  </si>
  <si>
    <t>P006</t>
  </si>
  <si>
    <t>C001</t>
  </si>
  <si>
    <t>C002</t>
  </si>
  <si>
    <t>C003</t>
  </si>
  <si>
    <t>C004</t>
  </si>
  <si>
    <t>C005</t>
  </si>
  <si>
    <t>Contact:</t>
  </si>
  <si>
    <t>JAM POTS LTD</t>
  </si>
  <si>
    <t>Temperature:</t>
  </si>
  <si>
    <t>Risk Factor</t>
  </si>
  <si>
    <t>Student Results</t>
  </si>
  <si>
    <t>Price List Lookup</t>
  </si>
  <si>
    <t>Sales Results</t>
  </si>
  <si>
    <t>Beaufort Scale</t>
  </si>
  <si>
    <t>2 way Lookup</t>
  </si>
  <si>
    <t>Day of The Week</t>
  </si>
  <si>
    <t>Week Day Number</t>
  </si>
  <si>
    <t>Wednesday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</si>
</sst>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d\ dd\-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4"/>
      <color theme="1"/>
      <name val="Britannic Bold"/>
      <family val="2"/>
    </font>
    <font>
      <b/>
      <u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0" fillId="0" borderId="0" xfId="1" applyFont="1"/>
    <xf numFmtId="0" fontId="5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4" xfId="1" applyFont="1" applyBorder="1"/>
    <xf numFmtId="0" fontId="2" fillId="0" borderId="4" xfId="0" applyFont="1" applyBorder="1"/>
    <xf numFmtId="0" fontId="2" fillId="4" borderId="4" xfId="0" applyFont="1" applyFill="1" applyBorder="1"/>
    <xf numFmtId="0" fontId="2" fillId="0" borderId="0" xfId="0" applyFont="1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2" fillId="0" borderId="0" xfId="0" applyFont="1" applyBorder="1"/>
    <xf numFmtId="9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2" fillId="5" borderId="12" xfId="0" applyFont="1" applyFill="1" applyBorder="1"/>
    <xf numFmtId="0" fontId="2" fillId="5" borderId="13" xfId="0" applyFont="1" applyFill="1" applyBorder="1"/>
    <xf numFmtId="14" fontId="0" fillId="0" borderId="16" xfId="0" applyNumberFormat="1" applyFont="1" applyBorder="1" applyAlignment="1">
      <alignment horizontal="left" wrapText="1"/>
    </xf>
    <xf numFmtId="14" fontId="0" fillId="0" borderId="6" xfId="0" applyNumberFormat="1" applyFont="1" applyBorder="1" applyAlignment="1">
      <alignment horizontal="left" wrapText="1"/>
    </xf>
    <xf numFmtId="14" fontId="0" fillId="0" borderId="17" xfId="0" applyNumberFormat="1" applyFont="1" applyBorder="1" applyAlignment="1">
      <alignment horizontal="left" wrapText="1"/>
    </xf>
    <xf numFmtId="0" fontId="2" fillId="4" borderId="12" xfId="0" applyFont="1" applyFill="1" applyBorder="1"/>
    <xf numFmtId="0" fontId="2" fillId="4" borderId="13" xfId="0" applyFont="1" applyFill="1" applyBorder="1"/>
    <xf numFmtId="44" fontId="2" fillId="4" borderId="14" xfId="1" applyFont="1" applyFill="1" applyBorder="1"/>
    <xf numFmtId="0" fontId="2" fillId="5" borderId="27" xfId="0" applyFont="1" applyFill="1" applyBorder="1"/>
    <xf numFmtId="0" fontId="2" fillId="5" borderId="28" xfId="0" applyFont="1" applyFill="1" applyBorder="1"/>
    <xf numFmtId="0" fontId="0" fillId="4" borderId="15" xfId="0" applyFill="1" applyBorder="1"/>
    <xf numFmtId="44" fontId="0" fillId="4" borderId="15" xfId="1" applyFont="1" applyFill="1" applyBorder="1"/>
    <xf numFmtId="0" fontId="0" fillId="4" borderId="18" xfId="0" applyFill="1" applyBorder="1"/>
    <xf numFmtId="44" fontId="0" fillId="4" borderId="18" xfId="1" applyFont="1" applyFill="1" applyBorder="1"/>
    <xf numFmtId="0" fontId="0" fillId="0" borderId="30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Font="1" applyBorder="1"/>
    <xf numFmtId="0" fontId="0" fillId="0" borderId="30" xfId="0" applyBorder="1" applyAlignment="1">
      <alignment horizontal="center"/>
    </xf>
    <xf numFmtId="44" fontId="13" fillId="0" borderId="0" xfId="1" applyFont="1"/>
    <xf numFmtId="0" fontId="13" fillId="0" borderId="0" xfId="0" applyFont="1"/>
    <xf numFmtId="44" fontId="13" fillId="0" borderId="0" xfId="0" applyNumberFormat="1" applyFont="1"/>
    <xf numFmtId="14" fontId="13" fillId="0" borderId="0" xfId="0" applyNumberFormat="1" applyFont="1"/>
    <xf numFmtId="43" fontId="13" fillId="0" borderId="0" xfId="2" applyFont="1"/>
    <xf numFmtId="0" fontId="13" fillId="0" borderId="0" xfId="2" applyNumberFormat="1" applyFont="1"/>
    <xf numFmtId="164" fontId="0" fillId="0" borderId="0" xfId="0" applyNumberFormat="1"/>
    <xf numFmtId="0" fontId="6" fillId="5" borderId="12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0" fillId="4" borderId="21" xfId="0" applyFont="1" applyFill="1" applyBorder="1" applyAlignment="1">
      <alignment horizontal="left"/>
    </xf>
    <xf numFmtId="0" fontId="0" fillId="4" borderId="20" xfId="0" applyFont="1" applyFill="1" applyBorder="1" applyAlignment="1">
      <alignment horizontal="left"/>
    </xf>
    <xf numFmtId="0" fontId="0" fillId="4" borderId="22" xfId="0" applyFont="1" applyFill="1" applyBorder="1" applyAlignment="1">
      <alignment horizontal="left"/>
    </xf>
    <xf numFmtId="0" fontId="0" fillId="4" borderId="23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24" xfId="0" applyFont="1" applyFill="1" applyBorder="1" applyAlignment="1">
      <alignment horizontal="left"/>
    </xf>
    <xf numFmtId="0" fontId="0" fillId="4" borderId="2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26" xfId="0" applyFont="1" applyFill="1" applyBorder="1" applyAlignment="1">
      <alignment horizontal="left"/>
    </xf>
    <xf numFmtId="0" fontId="7" fillId="0" borderId="2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4" fontId="0" fillId="0" borderId="16" xfId="0" applyNumberFormat="1" applyFont="1" applyBorder="1" applyAlignment="1">
      <alignment horizontal="left" wrapText="1"/>
    </xf>
    <xf numFmtId="14" fontId="0" fillId="0" borderId="6" xfId="0" applyNumberFormat="1" applyFont="1" applyBorder="1" applyAlignment="1">
      <alignment horizontal="left" wrapText="1"/>
    </xf>
    <xf numFmtId="14" fontId="0" fillId="0" borderId="17" xfId="0" applyNumberFormat="1" applyFont="1" applyBorder="1" applyAlignment="1">
      <alignment horizontal="left" wrapText="1"/>
    </xf>
    <xf numFmtId="14" fontId="0" fillId="4" borderId="16" xfId="0" applyNumberFormat="1" applyFont="1" applyFill="1" applyBorder="1" applyAlignment="1">
      <alignment horizontal="left" wrapText="1"/>
    </xf>
    <xf numFmtId="14" fontId="0" fillId="4" borderId="6" xfId="0" applyNumberFormat="1" applyFont="1" applyFill="1" applyBorder="1" applyAlignment="1">
      <alignment horizontal="left" wrapText="1"/>
    </xf>
    <xf numFmtId="14" fontId="0" fillId="4" borderId="17" xfId="0" applyNumberFormat="1" applyFont="1" applyFill="1" applyBorder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8">
    <dxf>
      <font>
        <i/>
        <family val="2"/>
      </font>
      <numFmt numFmtId="0" formatCode="General"/>
    </dxf>
    <dxf>
      <font>
        <i/>
        <family val="2"/>
      </font>
    </dxf>
    <dxf>
      <font>
        <i/>
        <family val="2"/>
      </font>
      <numFmt numFmtId="19" formatCode="dd/mm/yyyy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i/>
        <family val="2"/>
      </font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G1:J7" totalsRowShown="0">
  <autoFilter ref="G1:J7"/>
  <tableColumns count="4">
    <tableColumn id="1" name="Product ID"/>
    <tableColumn id="2" name="Product"/>
    <tableColumn id="3" name="Unit Price" dataCellStyle="Currency"/>
    <tableColumn id="4" name="Pack Siz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3:D8" totalsRowShown="0">
  <autoFilter ref="B3:D8"/>
  <tableColumns count="3">
    <tableColumn id="1" name="Student"/>
    <tableColumn id="2" name="Score"/>
    <tableColumn id="3" name="Grade" dataDxfId="7">
      <calculatedColumnFormula>VLOOKUP(Table3[[#This Row],[Score]],Table4[#All],2)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H3:I9" totalsRowShown="0" headerRowDxfId="6" dataDxfId="5">
  <autoFilter ref="H3:I9"/>
  <tableColumns count="2">
    <tableColumn id="1" name="Percentage" dataDxfId="4"/>
    <tableColumn id="2" name="Grade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K6:L10" totalsRowShown="0">
  <autoFilter ref="K6:L10"/>
  <tableColumns count="2">
    <tableColumn id="1" name="Part"/>
    <tableColumn id="2" name="Servicing Period (Days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6:F13" totalsRowShown="0">
  <autoFilter ref="A6:F13"/>
  <tableColumns count="6">
    <tableColumn id="1" name="Client"/>
    <tableColumn id="2" name="Part"/>
    <tableColumn id="3" name="Date Last Checked"/>
    <tableColumn id="4" name="Next Check" dataDxfId="2">
      <calculatedColumnFormula>Table6[[#This Row],[Date Last Checked]]+VLOOKUP(Table6[[#This Row],[Part]],Table5[#All],2,FALSE)</calculatedColumnFormula>
    </tableColumn>
    <tableColumn id="6" name="Days to Service" dataDxfId="1" dataCellStyle="Comma">
      <calculatedColumnFormula>TODAY()-Table6[[#This Row],[Next Check]]</calculatedColumnFormula>
    </tableColumn>
    <tableColumn id="5" name="Action" dataDxfId="0" dataCellStyle="Comma">
      <calculatedColumnFormula>VLOOKUP(Table6[[#This Row],[Days to Service]],$K$16:$L$21,2,TRUE)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K15:L21" totalsRowShown="0">
  <autoFilter ref="K15:L21"/>
  <tableColumns count="2">
    <tableColumn id="1" name="Days"/>
    <tableColumn id="2" name="Act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1:F6" totalsRowShown="0">
  <autoFilter ref="A1:F6"/>
  <tableColumns count="6">
    <tableColumn id="1" name="Customer ID"/>
    <tableColumn id="2" name="Contact"/>
    <tableColumn id="3" name="Company"/>
    <tableColumn id="4" name="Address 1"/>
    <tableColumn id="5" name="Address 2"/>
    <tableColumn id="6" name="Address 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13" displayName="Table13" ref="A1:D7" totalsRowShown="0">
  <autoFilter ref="A1:D7"/>
  <tableColumns count="4">
    <tableColumn id="1" name="Product ID"/>
    <tableColumn id="2" name="Product"/>
    <tableColumn id="3" name="Unit Price" dataCellStyle="Currency"/>
    <tableColumn id="4" name="Pack Siz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Hurricane" TargetMode="External"/><Relationship Id="rId2" Type="http://schemas.openxmlformats.org/officeDocument/2006/relationships/hyperlink" Target="https://en.wikipedia.org/wiki/Storm" TargetMode="External"/><Relationship Id="rId1" Type="http://schemas.openxmlformats.org/officeDocument/2006/relationships/hyperlink" Target="https://en.wikipedia.org/wiki/Gale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7"/>
  <sheetViews>
    <sheetView tabSelected="1" workbookViewId="0">
      <selection activeCell="A11" sqref="A11"/>
    </sheetView>
  </sheetViews>
  <sheetFormatPr defaultRowHeight="15" x14ac:dyDescent="0.25"/>
  <cols>
    <col min="1" max="1" width="20.28515625" customWidth="1"/>
    <col min="2" max="2" width="22.28515625" customWidth="1"/>
    <col min="8" max="8" width="26.140625" customWidth="1"/>
    <col min="9" max="9" width="11.85546875" style="6" customWidth="1"/>
    <col min="10" max="10" width="11.140625" customWidth="1"/>
  </cols>
  <sheetData>
    <row r="1" spans="1:10" ht="28.5" x14ac:dyDescent="0.45">
      <c r="A1" s="24" t="s">
        <v>160</v>
      </c>
      <c r="G1" t="s">
        <v>17</v>
      </c>
      <c r="H1" t="s">
        <v>2</v>
      </c>
      <c r="I1" s="6" t="s">
        <v>3</v>
      </c>
      <c r="J1" t="s">
        <v>5</v>
      </c>
    </row>
    <row r="2" spans="1:10" x14ac:dyDescent="0.25">
      <c r="G2" t="s">
        <v>144</v>
      </c>
      <c r="H2" t="s">
        <v>12</v>
      </c>
      <c r="I2" s="6">
        <v>1.3</v>
      </c>
      <c r="J2">
        <v>12</v>
      </c>
    </row>
    <row r="3" spans="1:10" x14ac:dyDescent="0.25">
      <c r="A3" s="1" t="s">
        <v>17</v>
      </c>
      <c r="B3" s="14" t="s">
        <v>145</v>
      </c>
      <c r="G3" t="s">
        <v>145</v>
      </c>
      <c r="H3" t="s">
        <v>4</v>
      </c>
      <c r="I3" s="6">
        <v>1.23</v>
      </c>
      <c r="J3">
        <v>24</v>
      </c>
    </row>
    <row r="4" spans="1:10" x14ac:dyDescent="0.25">
      <c r="A4" s="2" t="s">
        <v>2</v>
      </c>
      <c r="B4" s="14" t="str">
        <f>VLOOKUP($B$3,Table1[],2,FALSE)</f>
        <v>Orange Marmalade</v>
      </c>
      <c r="G4" t="s">
        <v>146</v>
      </c>
      <c r="H4" t="s">
        <v>13</v>
      </c>
      <c r="I4" s="6">
        <v>1.4</v>
      </c>
      <c r="J4">
        <v>10</v>
      </c>
    </row>
    <row r="5" spans="1:10" x14ac:dyDescent="0.25">
      <c r="A5" s="2" t="s">
        <v>3</v>
      </c>
      <c r="B5" s="15">
        <f>VLOOKUP($B$3,Table1[],3,FALSE)</f>
        <v>1.23</v>
      </c>
      <c r="G5" t="s">
        <v>147</v>
      </c>
      <c r="H5" t="s">
        <v>14</v>
      </c>
      <c r="I5" s="6">
        <v>1.5</v>
      </c>
      <c r="J5">
        <v>12</v>
      </c>
    </row>
    <row r="6" spans="1:10" x14ac:dyDescent="0.25">
      <c r="A6" s="3" t="s">
        <v>5</v>
      </c>
      <c r="B6" s="14">
        <f>VLOOKUP($B$3,Table1[],4,FALSE)</f>
        <v>24</v>
      </c>
      <c r="G6" t="s">
        <v>148</v>
      </c>
      <c r="H6" t="s">
        <v>15</v>
      </c>
      <c r="I6" s="6">
        <v>1.1000000000000001</v>
      </c>
      <c r="J6">
        <v>12</v>
      </c>
    </row>
    <row r="7" spans="1:10" x14ac:dyDescent="0.25">
      <c r="G7" t="s">
        <v>149</v>
      </c>
      <c r="H7" t="s">
        <v>16</v>
      </c>
      <c r="I7" s="6">
        <v>1.23</v>
      </c>
      <c r="J7">
        <v>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9"/>
  <sheetViews>
    <sheetView workbookViewId="0">
      <selection activeCell="E13" sqref="E13"/>
    </sheetView>
  </sheetViews>
  <sheetFormatPr defaultRowHeight="15" x14ac:dyDescent="0.25"/>
  <cols>
    <col min="11" max="11" width="12.5703125" bestFit="1" customWidth="1"/>
  </cols>
  <sheetData>
    <row r="1" spans="1:12" ht="23.25" x14ac:dyDescent="0.35">
      <c r="A1" s="50" t="s">
        <v>24</v>
      </c>
    </row>
    <row r="3" spans="1:12" ht="15.75" thickBot="1" x14ac:dyDescent="0.3">
      <c r="K3" t="s">
        <v>23</v>
      </c>
      <c r="L3" t="s">
        <v>158</v>
      </c>
    </row>
    <row r="4" spans="1:12" ht="15.75" thickBot="1" x14ac:dyDescent="0.3">
      <c r="B4" s="13" t="s">
        <v>157</v>
      </c>
      <c r="D4" s="48">
        <v>17</v>
      </c>
      <c r="K4">
        <v>0</v>
      </c>
      <c r="L4" t="s">
        <v>138</v>
      </c>
    </row>
    <row r="5" spans="1:12" x14ac:dyDescent="0.25">
      <c r="B5" s="13"/>
      <c r="K5">
        <v>12</v>
      </c>
      <c r="L5" t="s">
        <v>18</v>
      </c>
    </row>
    <row r="6" spans="1:12" x14ac:dyDescent="0.25">
      <c r="B6" s="13" t="s">
        <v>132</v>
      </c>
      <c r="D6" s="55" t="str">
        <f>VLOOKUP(D4,K4:L9,2,TRUE)</f>
        <v>Cold</v>
      </c>
      <c r="K6">
        <v>16</v>
      </c>
      <c r="L6" t="s">
        <v>19</v>
      </c>
    </row>
    <row r="7" spans="1:12" x14ac:dyDescent="0.25">
      <c r="B7" s="13"/>
      <c r="K7">
        <v>18</v>
      </c>
      <c r="L7" t="s">
        <v>20</v>
      </c>
    </row>
    <row r="8" spans="1:12" x14ac:dyDescent="0.25">
      <c r="B8" s="13"/>
      <c r="K8">
        <v>20</v>
      </c>
      <c r="L8" t="s">
        <v>21</v>
      </c>
    </row>
    <row r="9" spans="1:12" x14ac:dyDescent="0.25">
      <c r="K9">
        <v>24</v>
      </c>
      <c r="L9" t="s">
        <v>22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D6" sqref="D6"/>
    </sheetView>
  </sheetViews>
  <sheetFormatPr defaultRowHeight="15" x14ac:dyDescent="0.25"/>
  <cols>
    <col min="2" max="2" width="10.140625" customWidth="1"/>
    <col min="8" max="8" width="13.140625" style="9" customWidth="1"/>
    <col min="9" max="9" width="9.140625" style="9"/>
  </cols>
  <sheetData>
    <row r="1" spans="2:10" ht="21" x14ac:dyDescent="0.35">
      <c r="B1" s="49" t="s">
        <v>159</v>
      </c>
    </row>
    <row r="3" spans="2:10" x14ac:dyDescent="0.25">
      <c r="B3" t="s">
        <v>55</v>
      </c>
      <c r="C3" t="s">
        <v>47</v>
      </c>
      <c r="D3" t="s">
        <v>46</v>
      </c>
      <c r="H3" s="52" t="s">
        <v>48</v>
      </c>
      <c r="I3" s="52" t="s">
        <v>46</v>
      </c>
      <c r="J3" s="52"/>
    </row>
    <row r="4" spans="2:10" x14ac:dyDescent="0.25">
      <c r="B4" t="s">
        <v>0</v>
      </c>
      <c r="C4">
        <v>20</v>
      </c>
      <c r="D4" s="53" t="str">
        <f>VLOOKUP(Table3[[#This Row],[Score]],Table4[#All],2)</f>
        <v>F</v>
      </c>
      <c r="H4" s="9">
        <v>0</v>
      </c>
      <c r="I4" s="9" t="s">
        <v>52</v>
      </c>
    </row>
    <row r="5" spans="2:10" x14ac:dyDescent="0.25">
      <c r="B5" t="s">
        <v>56</v>
      </c>
      <c r="C5">
        <v>23</v>
      </c>
      <c r="D5" s="53" t="str">
        <f>VLOOKUP(Table3[[#This Row],[Score]],Table4[#All],2)</f>
        <v>F</v>
      </c>
      <c r="H5" s="9">
        <v>40</v>
      </c>
      <c r="I5" s="9" t="s">
        <v>53</v>
      </c>
    </row>
    <row r="6" spans="2:10" x14ac:dyDescent="0.25">
      <c r="B6" t="s">
        <v>57</v>
      </c>
      <c r="C6">
        <v>56</v>
      </c>
      <c r="D6" s="53" t="str">
        <f>VLOOKUP(Table3[[#This Row],[Score]],Table4[#All],2)</f>
        <v>D</v>
      </c>
      <c r="H6" s="9">
        <v>50</v>
      </c>
      <c r="I6" s="9" t="s">
        <v>54</v>
      </c>
    </row>
    <row r="7" spans="2:10" x14ac:dyDescent="0.25">
      <c r="B7" t="s">
        <v>58</v>
      </c>
      <c r="C7">
        <v>87</v>
      </c>
      <c r="D7" s="54" t="str">
        <f>VLOOKUP(Table3[[#This Row],[Score]],Table4[#All],2)</f>
        <v>A</v>
      </c>
      <c r="H7" s="9">
        <v>60</v>
      </c>
      <c r="I7" s="9" t="s">
        <v>51</v>
      </c>
    </row>
    <row r="8" spans="2:10" x14ac:dyDescent="0.25">
      <c r="B8" t="s">
        <v>59</v>
      </c>
      <c r="C8">
        <v>96</v>
      </c>
      <c r="D8" s="54" t="str">
        <f>VLOOKUP(Table3[[#This Row],[Score]],Table4[#All],2)</f>
        <v>A</v>
      </c>
      <c r="H8" s="9">
        <v>75</v>
      </c>
      <c r="I8" s="9" t="s">
        <v>50</v>
      </c>
    </row>
    <row r="9" spans="2:10" x14ac:dyDescent="0.25">
      <c r="D9" s="53"/>
      <c r="H9" s="9">
        <v>85</v>
      </c>
      <c r="I9" s="9" t="s">
        <v>49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4" sqref="C4"/>
    </sheetView>
  </sheetViews>
  <sheetFormatPr defaultRowHeight="15" x14ac:dyDescent="0.25"/>
  <cols>
    <col min="1" max="1" width="18.7109375" style="13" customWidth="1"/>
    <col min="2" max="7" width="12.5703125" bestFit="1" customWidth="1"/>
  </cols>
  <sheetData>
    <row r="1" spans="1:7" ht="28.5" x14ac:dyDescent="0.45">
      <c r="A1" s="24" t="s">
        <v>161</v>
      </c>
    </row>
    <row r="2" spans="1:7" ht="15.75" thickBot="1" x14ac:dyDescent="0.3"/>
    <row r="3" spans="1:7" ht="15.75" thickBot="1" x14ac:dyDescent="0.3">
      <c r="B3" t="s">
        <v>93</v>
      </c>
      <c r="C3" s="48">
        <v>2014</v>
      </c>
    </row>
    <row r="4" spans="1:7" x14ac:dyDescent="0.25">
      <c r="B4" t="s">
        <v>94</v>
      </c>
      <c r="C4" s="57">
        <f>HLOOKUP(C3,B9:G18,10)</f>
        <v>919057.25809999998</v>
      </c>
    </row>
    <row r="9" spans="1:7" ht="15.75" thickBot="1" x14ac:dyDescent="0.3">
      <c r="A9" s="12" t="s">
        <v>92</v>
      </c>
      <c r="B9" s="12">
        <v>2010</v>
      </c>
      <c r="C9" s="12">
        <v>2011</v>
      </c>
      <c r="D9" s="12">
        <v>2012</v>
      </c>
      <c r="E9" s="12">
        <v>2013</v>
      </c>
      <c r="F9" s="12">
        <v>2014</v>
      </c>
      <c r="G9" s="12">
        <v>2015</v>
      </c>
    </row>
    <row r="10" spans="1:7" x14ac:dyDescent="0.25">
      <c r="A10" s="13" t="s">
        <v>83</v>
      </c>
      <c r="B10" s="6">
        <v>33337.909534261256</v>
      </c>
      <c r="C10" s="6">
        <v>34726.989098188809</v>
      </c>
      <c r="D10" s="6">
        <v>36173.946977280008</v>
      </c>
      <c r="E10" s="6">
        <v>39319.507584000006</v>
      </c>
      <c r="F10" s="6">
        <v>42738.595200000003</v>
      </c>
      <c r="G10" s="6">
        <v>44519.37</v>
      </c>
    </row>
    <row r="11" spans="1:7" x14ac:dyDescent="0.25">
      <c r="A11" s="13" t="s">
        <v>84</v>
      </c>
      <c r="B11" s="6">
        <v>8338.2020398942732</v>
      </c>
      <c r="C11" s="6">
        <v>9063.2630868416018</v>
      </c>
      <c r="D11" s="6">
        <v>9959.6297657600026</v>
      </c>
      <c r="E11" s="6">
        <v>10825.684528000002</v>
      </c>
      <c r="F11" s="6">
        <v>11767.048400000001</v>
      </c>
      <c r="G11" s="6">
        <v>12790.27</v>
      </c>
    </row>
    <row r="12" spans="1:7" x14ac:dyDescent="0.25">
      <c r="A12" s="13" t="s">
        <v>85</v>
      </c>
      <c r="B12" s="6">
        <v>136998.19007999997</v>
      </c>
      <c r="C12" s="6">
        <v>142706.44799999997</v>
      </c>
      <c r="D12" s="6">
        <v>148652.54999999999</v>
      </c>
      <c r="E12" s="6">
        <v>124451.91486</v>
      </c>
      <c r="F12" s="6">
        <v>135273.8205</v>
      </c>
      <c r="G12" s="6">
        <v>148652.54999999999</v>
      </c>
    </row>
    <row r="13" spans="1:7" x14ac:dyDescent="0.25">
      <c r="A13" s="13" t="s">
        <v>86</v>
      </c>
      <c r="B13" s="6">
        <v>14946.786038120448</v>
      </c>
      <c r="C13" s="6">
        <v>15569.568789708801</v>
      </c>
      <c r="D13" s="6">
        <v>16923.444336640001</v>
      </c>
      <c r="E13" s="6">
        <v>18395.048192000002</v>
      </c>
      <c r="F13" s="6">
        <v>19994.617600000001</v>
      </c>
      <c r="G13" s="6">
        <v>21733.279999999999</v>
      </c>
    </row>
    <row r="14" spans="1:7" x14ac:dyDescent="0.25">
      <c r="A14" s="13" t="s">
        <v>87</v>
      </c>
      <c r="B14" s="6">
        <v>88383.649845702879</v>
      </c>
      <c r="C14" s="6">
        <v>96069.184614894431</v>
      </c>
      <c r="D14" s="6">
        <v>105570.53254384003</v>
      </c>
      <c r="E14" s="6">
        <v>116011.57422400003</v>
      </c>
      <c r="F14" s="6">
        <v>126099.53720000002</v>
      </c>
      <c r="G14" s="6">
        <v>138570.92000000001</v>
      </c>
    </row>
    <row r="15" spans="1:7" x14ac:dyDescent="0.25">
      <c r="A15" s="13" t="s">
        <v>88</v>
      </c>
      <c r="B15" s="6">
        <v>131289.93216</v>
      </c>
      <c r="C15" s="6">
        <v>136760.34599999999</v>
      </c>
      <c r="D15" s="6">
        <v>148652.54999999999</v>
      </c>
      <c r="E15" s="6">
        <v>502069.180032</v>
      </c>
      <c r="F15" s="6">
        <v>545727.36959999998</v>
      </c>
      <c r="G15" s="6">
        <v>568466.01</v>
      </c>
    </row>
    <row r="16" spans="1:7" x14ac:dyDescent="0.25">
      <c r="A16" s="13" t="s">
        <v>89</v>
      </c>
      <c r="B16" s="6">
        <v>131289.93216</v>
      </c>
      <c r="C16" s="6">
        <v>142706.44799999997</v>
      </c>
      <c r="D16" s="6">
        <v>148652.54999999999</v>
      </c>
      <c r="E16" s="6">
        <v>14286.808800000003</v>
      </c>
      <c r="F16" s="6">
        <v>15529.140000000001</v>
      </c>
      <c r="G16" s="6">
        <v>16879.5</v>
      </c>
    </row>
    <row r="17" spans="1:7" x14ac:dyDescent="0.25">
      <c r="A17" s="13" t="s">
        <v>90</v>
      </c>
      <c r="B17" s="6">
        <v>17104.087289954303</v>
      </c>
      <c r="C17" s="6">
        <v>17816.757593702398</v>
      </c>
      <c r="D17" s="6">
        <v>18559.122493439998</v>
      </c>
      <c r="E17" s="6">
        <v>20172.959231999997</v>
      </c>
      <c r="F17" s="6">
        <v>21927.129599999997</v>
      </c>
      <c r="G17" s="6">
        <v>22840.76</v>
      </c>
    </row>
    <row r="18" spans="1:7" ht="15.75" thickBot="1" x14ac:dyDescent="0.3">
      <c r="A18" s="11" t="s">
        <v>91</v>
      </c>
      <c r="B18" s="10">
        <f t="shared" ref="B18:G18" si="0">SUM(B10:B17)</f>
        <v>561688.68914793304</v>
      </c>
      <c r="C18" s="10">
        <f t="shared" si="0"/>
        <v>595419.00518333598</v>
      </c>
      <c r="D18" s="10">
        <f t="shared" si="0"/>
        <v>633144.32611696003</v>
      </c>
      <c r="E18" s="10">
        <f t="shared" si="0"/>
        <v>845532.67745200009</v>
      </c>
      <c r="F18" s="10">
        <f t="shared" si="0"/>
        <v>919057.25809999998</v>
      </c>
      <c r="G18" s="10">
        <f t="shared" si="0"/>
        <v>974452.66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workbookViewId="0">
      <selection activeCell="B6" sqref="B6"/>
    </sheetView>
  </sheetViews>
  <sheetFormatPr defaultRowHeight="15" x14ac:dyDescent="0.25"/>
  <cols>
    <col min="1" max="1" width="23" customWidth="1"/>
    <col min="2" max="2" width="19.7109375" customWidth="1"/>
    <col min="3" max="3" width="19.28515625" customWidth="1"/>
    <col min="6" max="6" width="22" customWidth="1"/>
    <col min="8" max="8" width="22.42578125" customWidth="1"/>
  </cols>
  <sheetData>
    <row r="1" spans="1:8" ht="26.25" x14ac:dyDescent="0.4">
      <c r="A1" s="51" t="s">
        <v>162</v>
      </c>
      <c r="F1" t="s">
        <v>38</v>
      </c>
      <c r="G1" t="s">
        <v>40</v>
      </c>
      <c r="H1" t="s">
        <v>39</v>
      </c>
    </row>
    <row r="2" spans="1:8" ht="15.75" x14ac:dyDescent="0.25">
      <c r="F2" s="25">
        <v>0</v>
      </c>
      <c r="G2" s="26">
        <v>0</v>
      </c>
      <c r="H2" s="26" t="s">
        <v>25</v>
      </c>
    </row>
    <row r="3" spans="1:8" ht="16.5" thickBot="1" x14ac:dyDescent="0.3">
      <c r="F3" s="25">
        <v>1</v>
      </c>
      <c r="G3" s="26">
        <v>1</v>
      </c>
      <c r="H3" s="26" t="s">
        <v>26</v>
      </c>
    </row>
    <row r="4" spans="1:8" ht="16.5" thickBot="1" x14ac:dyDescent="0.3">
      <c r="A4" s="13" t="s">
        <v>134</v>
      </c>
      <c r="B4" s="56">
        <v>24</v>
      </c>
      <c r="F4" s="25">
        <v>2</v>
      </c>
      <c r="G4" s="26">
        <v>4</v>
      </c>
      <c r="H4" s="26" t="s">
        <v>27</v>
      </c>
    </row>
    <row r="5" spans="1:8" ht="15.75" x14ac:dyDescent="0.25">
      <c r="A5" s="13" t="s">
        <v>38</v>
      </c>
      <c r="B5" s="53">
        <f>INDEX(F2:F14,MATCH(B4,G2:G14,1))</f>
        <v>5</v>
      </c>
      <c r="F5" s="25">
        <v>3</v>
      </c>
      <c r="G5" s="26">
        <v>8</v>
      </c>
      <c r="H5" s="26" t="s">
        <v>28</v>
      </c>
    </row>
    <row r="6" spans="1:8" ht="15.75" x14ac:dyDescent="0.25">
      <c r="A6" s="13" t="s">
        <v>133</v>
      </c>
      <c r="B6" s="53" t="str">
        <f>INDEX(H2:H14,MATCH(B4,G2:G14,1))</f>
        <v>Fresh Breeze</v>
      </c>
      <c r="F6" s="25">
        <v>4</v>
      </c>
      <c r="G6" s="26">
        <v>13</v>
      </c>
      <c r="H6" s="26" t="s">
        <v>29</v>
      </c>
    </row>
    <row r="7" spans="1:8" ht="15.75" x14ac:dyDescent="0.25">
      <c r="B7" s="9"/>
      <c r="F7" s="25">
        <v>5</v>
      </c>
      <c r="G7" s="26">
        <v>18</v>
      </c>
      <c r="H7" s="26" t="s">
        <v>30</v>
      </c>
    </row>
    <row r="8" spans="1:8" ht="15.75" x14ac:dyDescent="0.25">
      <c r="F8" s="25">
        <v>6</v>
      </c>
      <c r="G8" s="26">
        <v>25</v>
      </c>
      <c r="H8" s="26" t="s">
        <v>31</v>
      </c>
    </row>
    <row r="9" spans="1:8" ht="15.75" x14ac:dyDescent="0.25">
      <c r="F9" s="25">
        <v>7</v>
      </c>
      <c r="G9" s="26">
        <v>31</v>
      </c>
      <c r="H9" s="26" t="s">
        <v>32</v>
      </c>
    </row>
    <row r="10" spans="1:8" ht="15.75" x14ac:dyDescent="0.25">
      <c r="F10" s="25">
        <v>8</v>
      </c>
      <c r="G10" s="26">
        <v>39</v>
      </c>
      <c r="H10" s="26" t="s">
        <v>33</v>
      </c>
    </row>
    <row r="11" spans="1:8" ht="15.75" x14ac:dyDescent="0.25">
      <c r="F11" s="25">
        <v>9</v>
      </c>
      <c r="G11" s="26">
        <v>47</v>
      </c>
      <c r="H11" s="26" t="s">
        <v>34</v>
      </c>
    </row>
    <row r="12" spans="1:8" ht="15.75" x14ac:dyDescent="0.25">
      <c r="F12" s="25">
        <v>10</v>
      </c>
      <c r="G12" s="26">
        <v>55</v>
      </c>
      <c r="H12" s="26" t="s">
        <v>35</v>
      </c>
    </row>
    <row r="13" spans="1:8" ht="15.75" x14ac:dyDescent="0.25">
      <c r="F13" s="25">
        <v>11</v>
      </c>
      <c r="G13" s="26">
        <v>64</v>
      </c>
      <c r="H13" s="26" t="s">
        <v>36</v>
      </c>
    </row>
    <row r="14" spans="1:8" ht="15.75" x14ac:dyDescent="0.25">
      <c r="F14" s="25">
        <v>12</v>
      </c>
      <c r="G14" s="26">
        <v>73</v>
      </c>
      <c r="H14" s="26" t="s">
        <v>37</v>
      </c>
    </row>
    <row r="19" spans="2:3" x14ac:dyDescent="0.25">
      <c r="B19" s="4"/>
      <c r="C19" s="5"/>
    </row>
    <row r="20" spans="2:3" x14ac:dyDescent="0.25">
      <c r="C20" s="5"/>
    </row>
  </sheetData>
  <conditionalFormatting sqref="F2:F1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H10" r:id="rId1" tooltip="Gale" display="https://en.wikipedia.org/wiki/Gale"/>
    <hyperlink ref="H12" r:id="rId2" tooltip="Storm" display="https://en.wikipedia.org/wiki/Storm"/>
    <hyperlink ref="H14" r:id="rId3" tooltip="Hurricane" display="https://en.wikipedia.org/wiki/Hurricane"/>
  </hyperlinks>
  <pageMargins left="0.7" right="0.7" top="0.75" bottom="0.75" header="0.3" footer="0.3"/>
  <pageSetup paperSize="9" orientation="portrait" horizontalDpi="4294967293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G5" sqref="G5"/>
    </sheetView>
  </sheetViews>
  <sheetFormatPr defaultRowHeight="15" x14ac:dyDescent="0.25"/>
  <cols>
    <col min="2" max="2" width="15.140625" customWidth="1"/>
    <col min="3" max="3" width="19" customWidth="1"/>
    <col min="10" max="10" width="12.28515625" customWidth="1"/>
    <col min="11" max="11" width="25.85546875" customWidth="1"/>
  </cols>
  <sheetData>
    <row r="1" spans="1:15" ht="26.25" x14ac:dyDescent="0.4">
      <c r="A1" s="51" t="s">
        <v>163</v>
      </c>
      <c r="J1" s="7" t="s">
        <v>17</v>
      </c>
      <c r="K1" s="7" t="s">
        <v>2</v>
      </c>
      <c r="L1" s="7">
        <v>0</v>
      </c>
      <c r="M1" s="7">
        <v>10</v>
      </c>
      <c r="N1" s="7">
        <v>50</v>
      </c>
      <c r="O1" s="7">
        <v>100</v>
      </c>
    </row>
    <row r="2" spans="1:15" x14ac:dyDescent="0.25">
      <c r="J2" t="s">
        <v>6</v>
      </c>
      <c r="K2" t="s">
        <v>12</v>
      </c>
      <c r="L2" s="6">
        <v>1.3</v>
      </c>
      <c r="M2" s="6">
        <v>1.23</v>
      </c>
      <c r="N2" s="6">
        <v>1.17</v>
      </c>
      <c r="O2" s="6">
        <v>1.1100000000000001</v>
      </c>
    </row>
    <row r="3" spans="1:15" x14ac:dyDescent="0.25">
      <c r="J3" t="s">
        <v>7</v>
      </c>
      <c r="K3" t="s">
        <v>4</v>
      </c>
      <c r="L3" s="6">
        <v>1.23</v>
      </c>
      <c r="M3" s="6">
        <v>1.1599999999999999</v>
      </c>
      <c r="N3" s="6">
        <v>1.1100000000000001</v>
      </c>
      <c r="O3" s="6">
        <v>1.05</v>
      </c>
    </row>
    <row r="4" spans="1:15" ht="15.75" thickBot="1" x14ac:dyDescent="0.3">
      <c r="J4" t="s">
        <v>8</v>
      </c>
      <c r="K4" t="s">
        <v>13</v>
      </c>
      <c r="L4" s="6">
        <v>1.4</v>
      </c>
      <c r="M4" s="6">
        <v>1.3299999999999998</v>
      </c>
      <c r="N4" s="6">
        <v>1.26</v>
      </c>
      <c r="O4" s="6">
        <v>1.2</v>
      </c>
    </row>
    <row r="5" spans="1:15" ht="15.75" thickBot="1" x14ac:dyDescent="0.3">
      <c r="B5" s="13" t="s">
        <v>17</v>
      </c>
      <c r="C5" s="48" t="s">
        <v>6</v>
      </c>
      <c r="F5" t="s">
        <v>44</v>
      </c>
      <c r="G5">
        <f>MATCH(C5,J2:J7,0)</f>
        <v>1</v>
      </c>
      <c r="J5" t="s">
        <v>9</v>
      </c>
      <c r="K5" t="s">
        <v>14</v>
      </c>
      <c r="L5" s="6">
        <v>1.5</v>
      </c>
      <c r="M5" s="6">
        <v>1.42</v>
      </c>
      <c r="N5" s="6">
        <v>1.35</v>
      </c>
      <c r="O5" s="6">
        <v>1.28</v>
      </c>
    </row>
    <row r="6" spans="1:15" x14ac:dyDescent="0.25">
      <c r="B6" s="13" t="s">
        <v>43</v>
      </c>
      <c r="C6" s="58">
        <v>20</v>
      </c>
      <c r="F6" t="s">
        <v>45</v>
      </c>
      <c r="G6">
        <f>MATCH(C6,$L$1:$O$1,1)</f>
        <v>2</v>
      </c>
      <c r="J6" t="s">
        <v>10</v>
      </c>
      <c r="K6" t="s">
        <v>15</v>
      </c>
      <c r="L6" s="6">
        <v>1.1000000000000001</v>
      </c>
      <c r="M6" s="6">
        <v>1.04</v>
      </c>
      <c r="N6" s="6">
        <v>0.99</v>
      </c>
      <c r="O6" s="6">
        <v>0.94</v>
      </c>
    </row>
    <row r="7" spans="1:15" x14ac:dyDescent="0.25">
      <c r="B7" s="13" t="s">
        <v>2</v>
      </c>
      <c r="C7" s="58" t="str">
        <f>INDEX(K2:K11,G5,1)</f>
        <v>Raspberry Jam</v>
      </c>
      <c r="J7" t="s">
        <v>11</v>
      </c>
      <c r="K7" t="s">
        <v>16</v>
      </c>
      <c r="L7" s="6">
        <v>1.23</v>
      </c>
      <c r="M7" s="6">
        <v>1.1599999999999999</v>
      </c>
      <c r="N7" s="6">
        <v>1.1100000000000001</v>
      </c>
      <c r="O7" s="6">
        <v>1.05</v>
      </c>
    </row>
    <row r="8" spans="1:15" x14ac:dyDescent="0.25">
      <c r="B8" s="13" t="s">
        <v>41</v>
      </c>
      <c r="C8" s="57">
        <f>INDEX(J2:O7,G5,2+G6)</f>
        <v>1.23</v>
      </c>
    </row>
    <row r="9" spans="1:15" x14ac:dyDescent="0.25">
      <c r="B9" s="13" t="s">
        <v>42</v>
      </c>
      <c r="C9" s="59">
        <f>C6*C8</f>
        <v>24.6</v>
      </c>
    </row>
    <row r="10" spans="1:15" x14ac:dyDescent="0.25">
      <c r="B10" s="1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7" sqref="F7"/>
    </sheetView>
  </sheetViews>
  <sheetFormatPr defaultRowHeight="15" x14ac:dyDescent="0.25"/>
  <cols>
    <col min="1" max="1" width="18" customWidth="1"/>
    <col min="3" max="3" width="19.140625" customWidth="1"/>
    <col min="4" max="4" width="13.140625" customWidth="1"/>
    <col min="5" max="5" width="14.85546875" customWidth="1"/>
    <col min="6" max="6" width="23.7109375" customWidth="1"/>
    <col min="12" max="12" width="23.42578125" customWidth="1"/>
  </cols>
  <sheetData>
    <row r="1" spans="1:12" ht="28.5" x14ac:dyDescent="0.45">
      <c r="A1" s="24" t="s">
        <v>143</v>
      </c>
    </row>
    <row r="2" spans="1:12" x14ac:dyDescent="0.25">
      <c r="D2" t="s">
        <v>76</v>
      </c>
      <c r="E2" s="8">
        <f ca="1">TODAY()</f>
        <v>42450</v>
      </c>
    </row>
    <row r="3" spans="1:12" x14ac:dyDescent="0.25">
      <c r="K3" t="s">
        <v>61</v>
      </c>
    </row>
    <row r="6" spans="1:12" x14ac:dyDescent="0.25">
      <c r="A6" t="s">
        <v>60</v>
      </c>
      <c r="B6" t="s">
        <v>62</v>
      </c>
      <c r="C6" t="s">
        <v>68</v>
      </c>
      <c r="D6" t="s">
        <v>69</v>
      </c>
      <c r="E6" t="s">
        <v>77</v>
      </c>
      <c r="F6" t="s">
        <v>70</v>
      </c>
      <c r="K6" t="s">
        <v>62</v>
      </c>
      <c r="L6" t="s">
        <v>67</v>
      </c>
    </row>
    <row r="7" spans="1:12" x14ac:dyDescent="0.25">
      <c r="A7" t="s">
        <v>78</v>
      </c>
      <c r="B7" t="s">
        <v>63</v>
      </c>
      <c r="C7" s="8">
        <v>42390</v>
      </c>
      <c r="D7" s="60">
        <f>Table6[[#This Row],[Date Last Checked]]+VLOOKUP(Table6[[#This Row],[Part]],Table5[#All],2,FALSE)</f>
        <v>42510</v>
      </c>
      <c r="E7" s="61">
        <f ca="1">TODAY()-Table6[[#This Row],[Next Check]]</f>
        <v>-60</v>
      </c>
      <c r="F7" s="58" t="str">
        <f ca="1">VLOOKUP(Table6[[#This Row],[Days to Service]],$K$16:$L$21,2,TRUE)</f>
        <v>OK</v>
      </c>
      <c r="K7" t="s">
        <v>63</v>
      </c>
      <c r="L7">
        <v>120</v>
      </c>
    </row>
    <row r="8" spans="1:12" x14ac:dyDescent="0.25">
      <c r="A8" t="s">
        <v>78</v>
      </c>
      <c r="B8" t="s">
        <v>64</v>
      </c>
      <c r="C8" s="8">
        <v>41741</v>
      </c>
      <c r="D8" s="60">
        <f>Table6[[#This Row],[Date Last Checked]]+VLOOKUP(Table6[[#This Row],[Part]],Table5[#All],2,FALSE)</f>
        <v>42101</v>
      </c>
      <c r="E8" s="61">
        <f ca="1">TODAY()-Table6[[#This Row],[Next Check]]</f>
        <v>349</v>
      </c>
      <c r="F8" s="58" t="str">
        <f ca="1">VLOOKUP(Table6[[#This Row],[Days to Service]],$K$16:$L$21,2,TRUE)</f>
        <v>Critical Service Required</v>
      </c>
      <c r="K8" t="s">
        <v>64</v>
      </c>
      <c r="L8">
        <v>360</v>
      </c>
    </row>
    <row r="9" spans="1:12" x14ac:dyDescent="0.25">
      <c r="A9" t="s">
        <v>79</v>
      </c>
      <c r="B9" t="s">
        <v>65</v>
      </c>
      <c r="C9" s="8">
        <v>42106</v>
      </c>
      <c r="D9" s="60">
        <f>Table6[[#This Row],[Date Last Checked]]+VLOOKUP(Table6[[#This Row],[Part]],Table5[#All],2,FALSE)</f>
        <v>42826</v>
      </c>
      <c r="E9" s="61">
        <f ca="1">TODAY()-Table6[[#This Row],[Next Check]]</f>
        <v>-376</v>
      </c>
      <c r="F9" s="58" t="str">
        <f ca="1">VLOOKUP(Table6[[#This Row],[Days to Service]],$K$16:$L$21,2,TRUE)</f>
        <v>OK</v>
      </c>
      <c r="K9" t="s">
        <v>65</v>
      </c>
      <c r="L9">
        <v>720</v>
      </c>
    </row>
    <row r="10" spans="1:12" x14ac:dyDescent="0.25">
      <c r="A10" t="s">
        <v>79</v>
      </c>
      <c r="B10" t="s">
        <v>66</v>
      </c>
      <c r="C10" s="8">
        <v>41726</v>
      </c>
      <c r="D10" s="60">
        <f>Table6[[#This Row],[Date Last Checked]]+VLOOKUP(Table6[[#This Row],[Part]],Table5[#All],2,FALSE)</f>
        <v>42446</v>
      </c>
      <c r="E10" s="61">
        <f ca="1">TODAY()-Table6[[#This Row],[Next Check]]</f>
        <v>4</v>
      </c>
      <c r="F10" s="58" t="str">
        <f ca="1">VLOOKUP(Table6[[#This Row],[Days to Service]],$K$16:$L$21,2,TRUE)</f>
        <v>Service Required</v>
      </c>
      <c r="K10" t="s">
        <v>66</v>
      </c>
      <c r="L10">
        <v>720</v>
      </c>
    </row>
    <row r="11" spans="1:12" x14ac:dyDescent="0.25">
      <c r="A11" t="s">
        <v>79</v>
      </c>
      <c r="B11" t="s">
        <v>64</v>
      </c>
      <c r="C11" s="8">
        <v>42134</v>
      </c>
      <c r="D11" s="60">
        <f>Table6[[#This Row],[Date Last Checked]]+VLOOKUP(Table6[[#This Row],[Part]],Table5[#All],2,FALSE)</f>
        <v>42494</v>
      </c>
      <c r="E11" s="61">
        <f ca="1">TODAY()-Table6[[#This Row],[Next Check]]</f>
        <v>-44</v>
      </c>
      <c r="F11" s="58" t="str">
        <f ca="1">VLOOKUP(Table6[[#This Row],[Days to Service]],$K$16:$L$21,2,TRUE)</f>
        <v>OK</v>
      </c>
    </row>
    <row r="12" spans="1:12" x14ac:dyDescent="0.25">
      <c r="A12" t="s">
        <v>95</v>
      </c>
      <c r="B12" t="s">
        <v>63</v>
      </c>
      <c r="C12" s="8">
        <v>41771</v>
      </c>
      <c r="D12" s="60">
        <f>Table6[[#This Row],[Date Last Checked]]+VLOOKUP(Table6[[#This Row],[Part]],Table5[#All],2,FALSE)</f>
        <v>41891</v>
      </c>
      <c r="E12" s="61">
        <f ca="1">TODAY()-Table6[[#This Row],[Next Check]]</f>
        <v>559</v>
      </c>
      <c r="F12" s="58" t="str">
        <f ca="1">VLOOKUP(Table6[[#This Row],[Days to Service]],$K$16:$L$21,2,TRUE)</f>
        <v>Remove from Service Contract</v>
      </c>
    </row>
    <row r="13" spans="1:12" x14ac:dyDescent="0.25">
      <c r="A13" t="s">
        <v>95</v>
      </c>
      <c r="B13" t="s">
        <v>64</v>
      </c>
      <c r="C13" s="8">
        <v>42423</v>
      </c>
      <c r="D13" s="60">
        <f>Table6[[#This Row],[Date Last Checked]]+VLOOKUP(Table6[[#This Row],[Part]],Table5[#All],2,FALSE)</f>
        <v>42783</v>
      </c>
      <c r="E13" s="61">
        <f ca="1">TODAY()-Table6[[#This Row],[Next Check]]</f>
        <v>-333</v>
      </c>
      <c r="F13" s="62" t="str">
        <f ca="1">VLOOKUP(Table6[[#This Row],[Days to Service]],$K$16:$L$21,2,TRUE)</f>
        <v>OK</v>
      </c>
      <c r="K13" t="s">
        <v>71</v>
      </c>
    </row>
    <row r="14" spans="1:12" x14ac:dyDescent="0.25">
      <c r="D14" s="58"/>
      <c r="E14" s="58"/>
      <c r="F14" s="58"/>
    </row>
    <row r="15" spans="1:12" x14ac:dyDescent="0.25">
      <c r="K15" t="s">
        <v>72</v>
      </c>
      <c r="L15" t="s">
        <v>70</v>
      </c>
    </row>
    <row r="16" spans="1:12" x14ac:dyDescent="0.25">
      <c r="K16">
        <v>-9999</v>
      </c>
      <c r="L16" t="s">
        <v>81</v>
      </c>
    </row>
    <row r="17" spans="11:12" x14ac:dyDescent="0.25">
      <c r="K17">
        <v>-30</v>
      </c>
      <c r="L17" t="s">
        <v>82</v>
      </c>
    </row>
    <row r="18" spans="11:12" x14ac:dyDescent="0.25">
      <c r="K18">
        <v>0</v>
      </c>
      <c r="L18" t="s">
        <v>73</v>
      </c>
    </row>
    <row r="19" spans="11:12" x14ac:dyDescent="0.25">
      <c r="K19">
        <v>30</v>
      </c>
      <c r="L19" t="s">
        <v>74</v>
      </c>
    </row>
    <row r="20" spans="11:12" x14ac:dyDescent="0.25">
      <c r="K20">
        <v>60</v>
      </c>
      <c r="L20" t="s">
        <v>75</v>
      </c>
    </row>
    <row r="21" spans="11:12" x14ac:dyDescent="0.25">
      <c r="K21">
        <v>360</v>
      </c>
      <c r="L21" t="s">
        <v>80</v>
      </c>
    </row>
  </sheetData>
  <pageMargins left="0.7" right="0.7" top="0.75" bottom="0.75" header="0.3" footer="0.3"/>
  <pageSetup paperSize="9" orientation="portrait" horizontalDpi="4294967293" verticalDpi="0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showGridLines="0" workbookViewId="0">
      <selection activeCell="E37" sqref="E37"/>
    </sheetView>
  </sheetViews>
  <sheetFormatPr defaultRowHeight="15" x14ac:dyDescent="0.25"/>
  <cols>
    <col min="3" max="3" width="13.85546875" customWidth="1"/>
    <col min="4" max="4" width="10.7109375" bestFit="1" customWidth="1"/>
    <col min="5" max="5" width="24.5703125" customWidth="1"/>
    <col min="8" max="8" width="11.28515625" customWidth="1"/>
    <col min="11" max="11" width="13" customWidth="1"/>
  </cols>
  <sheetData>
    <row r="1" spans="2:9" ht="15.75" thickBot="1" x14ac:dyDescent="0.3"/>
    <row r="2" spans="2:9" ht="30.75" thickBot="1" x14ac:dyDescent="0.45">
      <c r="B2" s="64" t="s">
        <v>156</v>
      </c>
      <c r="C2" s="65"/>
      <c r="D2" s="65"/>
      <c r="E2" s="65"/>
      <c r="F2" s="65"/>
      <c r="G2" s="65"/>
      <c r="H2" s="65"/>
      <c r="I2" s="66"/>
    </row>
    <row r="3" spans="2:9" ht="26.25" x14ac:dyDescent="0.4">
      <c r="B3" s="76" t="s">
        <v>124</v>
      </c>
      <c r="C3" s="77"/>
      <c r="D3" s="77"/>
      <c r="E3" s="77"/>
      <c r="F3" s="77"/>
      <c r="G3" s="77"/>
      <c r="H3" s="77"/>
      <c r="I3" s="78"/>
    </row>
    <row r="4" spans="2:9" x14ac:dyDescent="0.25">
      <c r="B4" s="17"/>
      <c r="C4" s="16"/>
      <c r="D4" s="16"/>
      <c r="E4" s="16"/>
      <c r="F4" s="16"/>
      <c r="G4" s="16"/>
      <c r="H4" s="16"/>
      <c r="I4" s="18"/>
    </row>
    <row r="5" spans="2:9" x14ac:dyDescent="0.25">
      <c r="B5" s="17"/>
      <c r="C5" s="16"/>
      <c r="D5" s="16"/>
      <c r="E5" s="16"/>
      <c r="F5" s="16"/>
      <c r="G5" s="16"/>
      <c r="H5" s="16"/>
      <c r="I5" s="18"/>
    </row>
    <row r="6" spans="2:9" x14ac:dyDescent="0.25">
      <c r="B6" s="17"/>
      <c r="C6" s="27" t="s">
        <v>130</v>
      </c>
      <c r="D6" s="79">
        <v>42429</v>
      </c>
      <c r="E6" s="80"/>
      <c r="F6" s="80"/>
      <c r="G6" s="80"/>
      <c r="H6" s="81"/>
      <c r="I6" s="18"/>
    </row>
    <row r="7" spans="2:9" x14ac:dyDescent="0.25">
      <c r="B7" s="17"/>
      <c r="C7" s="27" t="s">
        <v>131</v>
      </c>
      <c r="D7" s="79" t="s">
        <v>151</v>
      </c>
      <c r="E7" s="80"/>
      <c r="F7" s="80"/>
      <c r="G7" s="80"/>
      <c r="H7" s="81"/>
      <c r="I7" s="18"/>
    </row>
    <row r="8" spans="2:9" x14ac:dyDescent="0.25">
      <c r="B8" s="17"/>
      <c r="C8" s="27" t="s">
        <v>129</v>
      </c>
      <c r="D8" s="79" t="s">
        <v>128</v>
      </c>
      <c r="E8" s="80"/>
      <c r="F8" s="80"/>
      <c r="G8" s="80"/>
      <c r="H8" s="81"/>
      <c r="I8" s="18"/>
    </row>
    <row r="9" spans="2:9" x14ac:dyDescent="0.25">
      <c r="B9" s="17"/>
      <c r="C9" s="27"/>
      <c r="D9" s="36"/>
      <c r="E9" s="37"/>
      <c r="F9" s="37"/>
      <c r="G9" s="37"/>
      <c r="H9" s="38"/>
      <c r="I9" s="18"/>
    </row>
    <row r="10" spans="2:9" x14ac:dyDescent="0.25">
      <c r="B10" s="17"/>
      <c r="C10" s="28" t="s">
        <v>155</v>
      </c>
      <c r="D10" s="82" t="str">
        <f>VLOOKUP($D$7,Table8[#All],2,FALSE )</f>
        <v>James Jones</v>
      </c>
      <c r="E10" s="83"/>
      <c r="F10" s="83"/>
      <c r="G10" s="83"/>
      <c r="H10" s="84"/>
      <c r="I10" s="18"/>
    </row>
    <row r="11" spans="2:9" x14ac:dyDescent="0.25">
      <c r="B11" s="17"/>
      <c r="C11" s="19" t="s">
        <v>135</v>
      </c>
      <c r="D11" s="67" t="str">
        <f>VLOOKUP($D$7,Table8[#All],3, FALSE)</f>
        <v>Whitstable Grocers</v>
      </c>
      <c r="E11" s="68"/>
      <c r="F11" s="68"/>
      <c r="G11" s="69"/>
      <c r="H11" s="16"/>
      <c r="I11" s="18"/>
    </row>
    <row r="12" spans="2:9" x14ac:dyDescent="0.25">
      <c r="B12" s="17"/>
      <c r="C12" s="16"/>
      <c r="D12" s="70" t="str">
        <f>VLOOKUP($D$7,Table8[#All],4,FALSE )</f>
        <v>12 George Street</v>
      </c>
      <c r="E12" s="71"/>
      <c r="F12" s="71"/>
      <c r="G12" s="72"/>
      <c r="H12" s="16"/>
      <c r="I12" s="18"/>
    </row>
    <row r="13" spans="2:9" x14ac:dyDescent="0.25">
      <c r="B13" s="17"/>
      <c r="C13" s="16"/>
      <c r="D13" s="70" t="str">
        <f>VLOOKUP($D$7,Table8[#All],5,FALSE )</f>
        <v>Whitstable</v>
      </c>
      <c r="E13" s="71"/>
      <c r="F13" s="71"/>
      <c r="G13" s="72"/>
      <c r="H13" s="16"/>
      <c r="I13" s="18"/>
    </row>
    <row r="14" spans="2:9" x14ac:dyDescent="0.25">
      <c r="B14" s="17"/>
      <c r="C14" s="16"/>
      <c r="D14" s="73" t="str">
        <f>VLOOKUP($D$7,Table8[#All],6, FALSE)</f>
        <v>BR23 8KL</v>
      </c>
      <c r="E14" s="74"/>
      <c r="F14" s="74"/>
      <c r="G14" s="75"/>
      <c r="H14" s="16"/>
      <c r="I14" s="18"/>
    </row>
    <row r="15" spans="2:9" x14ac:dyDescent="0.25">
      <c r="B15" s="17"/>
      <c r="C15" s="16"/>
      <c r="D15" s="16"/>
      <c r="E15" s="16"/>
      <c r="F15" s="16"/>
      <c r="G15" s="16"/>
      <c r="H15" s="16"/>
      <c r="I15" s="18"/>
    </row>
    <row r="16" spans="2:9" ht="15.75" thickBot="1" x14ac:dyDescent="0.3">
      <c r="B16" s="17"/>
      <c r="C16" s="16"/>
      <c r="D16" s="16"/>
      <c r="E16" s="16"/>
      <c r="F16" s="16"/>
      <c r="G16" s="16"/>
      <c r="H16" s="16"/>
      <c r="I16" s="18"/>
    </row>
    <row r="17" spans="2:9" ht="15.75" thickBot="1" x14ac:dyDescent="0.3">
      <c r="B17" s="17"/>
      <c r="C17" s="34" t="s">
        <v>125</v>
      </c>
      <c r="D17" s="35" t="s">
        <v>126</v>
      </c>
      <c r="E17" s="42" t="s">
        <v>2</v>
      </c>
      <c r="F17" s="42" t="s">
        <v>3</v>
      </c>
      <c r="G17" s="42" t="s">
        <v>5</v>
      </c>
      <c r="H17" s="43" t="s">
        <v>136</v>
      </c>
      <c r="I17" s="18"/>
    </row>
    <row r="18" spans="2:9" x14ac:dyDescent="0.25">
      <c r="B18" s="17"/>
      <c r="C18" s="32" t="s">
        <v>144</v>
      </c>
      <c r="D18" s="33">
        <v>2</v>
      </c>
      <c r="E18" s="44" t="str">
        <f>IF(ISBLANK($C18),"",VLOOKUP($C18,Table13[#All],2,FALSE))</f>
        <v>Raspberry Jam</v>
      </c>
      <c r="F18" s="45">
        <f>IF(ISBLANK($C18),"",VLOOKUP($C18,Table1[#All],3,FALSE))</f>
        <v>1.3</v>
      </c>
      <c r="G18" s="44">
        <f>IF(ISBLANK($C18),"",VLOOKUP($C18,Table1[#All],4,FALSE))</f>
        <v>12</v>
      </c>
      <c r="H18" s="45">
        <f>IF(ISBLANK(C18),0,G18*F18*D18)</f>
        <v>31.200000000000003</v>
      </c>
      <c r="I18" s="18"/>
    </row>
    <row r="19" spans="2:9" x14ac:dyDescent="0.25">
      <c r="B19" s="17"/>
      <c r="C19" s="29" t="s">
        <v>147</v>
      </c>
      <c r="D19" s="30">
        <v>3</v>
      </c>
      <c r="E19" s="44" t="str">
        <f>IF(ISBLANK($C19),"",VLOOKUP($C19,Table13[#All],2,FALSE))</f>
        <v>Grapefruit Marmalade</v>
      </c>
      <c r="F19" s="45">
        <f>IF(ISBLANK($C19),"",VLOOKUP($C19,Table1[#All],3,FALSE))</f>
        <v>1.5</v>
      </c>
      <c r="G19" s="44">
        <f>IF(ISBLANK($C19),"",VLOOKUP($C19,Table1[#All],4,FALSE))</f>
        <v>12</v>
      </c>
      <c r="H19" s="45">
        <f t="shared" ref="H19:H22" si="0">IF(ISBLANK(C19),0,G19*F19*D19)</f>
        <v>54</v>
      </c>
      <c r="I19" s="18"/>
    </row>
    <row r="20" spans="2:9" x14ac:dyDescent="0.25">
      <c r="B20" s="17"/>
      <c r="C20" s="29"/>
      <c r="D20" s="30"/>
      <c r="E20" s="44" t="str">
        <f>IF(ISBLANK($C20),"",VLOOKUP($C20,Table13[#All],2,FALSE))</f>
        <v/>
      </c>
      <c r="F20" s="45" t="str">
        <f>IF(ISBLANK($C20),"",VLOOKUP($C20,Table1[#All],3,FALSE))</f>
        <v/>
      </c>
      <c r="G20" s="44" t="str">
        <f>IF(ISBLANK($C20),"",VLOOKUP($C20,Table1[#All],4,FALSE))</f>
        <v/>
      </c>
      <c r="H20" s="45">
        <f t="shared" si="0"/>
        <v>0</v>
      </c>
      <c r="I20" s="18"/>
    </row>
    <row r="21" spans="2:9" x14ac:dyDescent="0.25">
      <c r="B21" s="17"/>
      <c r="C21" s="29"/>
      <c r="D21" s="30"/>
      <c r="E21" s="44" t="str">
        <f>IF(ISBLANK($C21),"",VLOOKUP($C21,Table13[#All],2,FALSE))</f>
        <v/>
      </c>
      <c r="F21" s="45" t="str">
        <f>IF(ISBLANK($C21),"",VLOOKUP($C21,Table1[#All],3,FALSE))</f>
        <v/>
      </c>
      <c r="G21" s="44" t="str">
        <f>IF(ISBLANK($C21),"",VLOOKUP($C21,Table1[#All],4,FALSE))</f>
        <v/>
      </c>
      <c r="H21" s="45">
        <f t="shared" si="0"/>
        <v>0</v>
      </c>
      <c r="I21" s="18"/>
    </row>
    <row r="22" spans="2:9" x14ac:dyDescent="0.25">
      <c r="B22" s="17"/>
      <c r="C22" s="29"/>
      <c r="D22" s="30"/>
      <c r="E22" s="44" t="str">
        <f>IF(ISBLANK($C22),"",VLOOKUP($C22,Table13[#All],2,FALSE))</f>
        <v/>
      </c>
      <c r="F22" s="45" t="str">
        <f>IF(ISBLANK($C22),"",VLOOKUP($C22,Table1[#All],3,FALSE))</f>
        <v/>
      </c>
      <c r="G22" s="44" t="str">
        <f>IF(ISBLANK($C22),"",VLOOKUP($C22,Table1[#All],4,FALSE))</f>
        <v/>
      </c>
      <c r="H22" s="45">
        <f t="shared" si="0"/>
        <v>0</v>
      </c>
      <c r="I22" s="18"/>
    </row>
    <row r="23" spans="2:9" ht="15.75" thickBot="1" x14ac:dyDescent="0.3">
      <c r="B23" s="17"/>
      <c r="C23" s="31"/>
      <c r="D23" s="31"/>
      <c r="E23" s="46" t="str">
        <f>IF(ISBLANK($C23),"",VLOOKUP($C23,Table13[#All],2,FALSE))</f>
        <v/>
      </c>
      <c r="F23" s="46"/>
      <c r="G23" s="46"/>
      <c r="H23" s="47"/>
      <c r="I23" s="18"/>
    </row>
    <row r="24" spans="2:9" ht="15.75" thickBot="1" x14ac:dyDescent="0.3">
      <c r="B24" s="17"/>
      <c r="C24" s="39"/>
      <c r="D24" s="40"/>
      <c r="E24" s="40"/>
      <c r="F24" s="40" t="s">
        <v>127</v>
      </c>
      <c r="G24" s="40"/>
      <c r="H24" s="41">
        <f>SUM(H18:H23)</f>
        <v>85.2</v>
      </c>
      <c r="I24" s="18"/>
    </row>
    <row r="25" spans="2:9" x14ac:dyDescent="0.25">
      <c r="B25" s="17"/>
      <c r="C25" s="16"/>
      <c r="D25" s="16"/>
      <c r="E25" s="16"/>
      <c r="F25" s="16"/>
      <c r="G25" s="20"/>
      <c r="H25" s="16"/>
      <c r="I25" s="18"/>
    </row>
    <row r="26" spans="2:9" x14ac:dyDescent="0.25">
      <c r="B26" s="17"/>
      <c r="C26" s="16"/>
      <c r="D26" s="16"/>
      <c r="E26" s="16"/>
      <c r="F26" s="16"/>
      <c r="G26" s="16"/>
      <c r="H26" s="16"/>
      <c r="I26" s="18"/>
    </row>
    <row r="27" spans="2:9" ht="15.75" thickBot="1" x14ac:dyDescent="0.3">
      <c r="B27" s="21"/>
      <c r="C27" s="22"/>
      <c r="D27" s="22"/>
      <c r="E27" s="22"/>
      <c r="F27" s="22"/>
      <c r="G27" s="22"/>
      <c r="H27" s="22"/>
      <c r="I27" s="23"/>
    </row>
  </sheetData>
  <mergeCells count="10">
    <mergeCell ref="B2:I2"/>
    <mergeCell ref="D11:G11"/>
    <mergeCell ref="D12:G12"/>
    <mergeCell ref="D13:G13"/>
    <mergeCell ref="D14:G14"/>
    <mergeCell ref="B3:I3"/>
    <mergeCell ref="D6:H6"/>
    <mergeCell ref="D7:H7"/>
    <mergeCell ref="D8:H8"/>
    <mergeCell ref="D10:H10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37" sqref="E37"/>
    </sheetView>
  </sheetViews>
  <sheetFormatPr defaultRowHeight="15" x14ac:dyDescent="0.25"/>
  <cols>
    <col min="1" max="1" width="14" customWidth="1"/>
    <col min="2" max="2" width="13.140625" bestFit="1" customWidth="1"/>
    <col min="3" max="3" width="18.28515625" bestFit="1" customWidth="1"/>
    <col min="4" max="4" width="19.5703125" bestFit="1" customWidth="1"/>
    <col min="5" max="6" width="11.85546875" bestFit="1" customWidth="1"/>
  </cols>
  <sheetData>
    <row r="1" spans="1:6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</row>
    <row r="2" spans="1:6" x14ac:dyDescent="0.25">
      <c r="A2" t="s">
        <v>150</v>
      </c>
      <c r="B2" t="s">
        <v>102</v>
      </c>
      <c r="C2" t="s">
        <v>78</v>
      </c>
      <c r="D2" t="s">
        <v>107</v>
      </c>
      <c r="E2" t="s">
        <v>111</v>
      </c>
      <c r="F2" t="s">
        <v>115</v>
      </c>
    </row>
    <row r="3" spans="1:6" x14ac:dyDescent="0.25">
      <c r="A3" t="s">
        <v>151</v>
      </c>
      <c r="B3" t="s">
        <v>103</v>
      </c>
      <c r="C3" t="s">
        <v>106</v>
      </c>
      <c r="D3" t="s">
        <v>108</v>
      </c>
      <c r="E3" t="s">
        <v>110</v>
      </c>
      <c r="F3" t="s">
        <v>116</v>
      </c>
    </row>
    <row r="4" spans="1:6" x14ac:dyDescent="0.25">
      <c r="A4" t="s">
        <v>152</v>
      </c>
      <c r="B4" t="s">
        <v>104</v>
      </c>
      <c r="C4" t="s">
        <v>140</v>
      </c>
      <c r="D4" t="s">
        <v>109</v>
      </c>
      <c r="E4" t="s">
        <v>112</v>
      </c>
      <c r="F4" t="s">
        <v>117</v>
      </c>
    </row>
    <row r="5" spans="1:6" x14ac:dyDescent="0.25">
      <c r="A5" t="s">
        <v>153</v>
      </c>
      <c r="B5" t="s">
        <v>105</v>
      </c>
      <c r="C5" t="s">
        <v>122</v>
      </c>
      <c r="D5" t="s">
        <v>120</v>
      </c>
      <c r="E5" t="s">
        <v>113</v>
      </c>
      <c r="F5" t="s">
        <v>118</v>
      </c>
    </row>
    <row r="6" spans="1:6" x14ac:dyDescent="0.25">
      <c r="A6" t="s">
        <v>154</v>
      </c>
      <c r="B6" t="s">
        <v>139</v>
      </c>
      <c r="C6" t="s">
        <v>123</v>
      </c>
      <c r="D6" t="s">
        <v>121</v>
      </c>
      <c r="E6" t="s">
        <v>114</v>
      </c>
      <c r="F6" t="s">
        <v>119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37" sqref="E37"/>
    </sheetView>
  </sheetViews>
  <sheetFormatPr defaultRowHeight="15" x14ac:dyDescent="0.25"/>
  <cols>
    <col min="2" max="2" width="26.140625" customWidth="1"/>
    <col min="3" max="3" width="11.85546875" style="6" customWidth="1"/>
    <col min="4" max="4" width="11.140625" customWidth="1"/>
  </cols>
  <sheetData>
    <row r="1" spans="1:4" x14ac:dyDescent="0.25">
      <c r="A1" t="s">
        <v>17</v>
      </c>
      <c r="B1" t="s">
        <v>2</v>
      </c>
      <c r="C1" s="6" t="s">
        <v>3</v>
      </c>
      <c r="D1" t="s">
        <v>5</v>
      </c>
    </row>
    <row r="2" spans="1:4" x14ac:dyDescent="0.25">
      <c r="A2" t="s">
        <v>144</v>
      </c>
      <c r="B2" t="s">
        <v>12</v>
      </c>
      <c r="C2" s="6">
        <v>1.3</v>
      </c>
      <c r="D2">
        <v>12</v>
      </c>
    </row>
    <row r="3" spans="1:4" x14ac:dyDescent="0.25">
      <c r="A3" t="s">
        <v>145</v>
      </c>
      <c r="B3" t="s">
        <v>4</v>
      </c>
      <c r="C3" s="6">
        <v>1.23</v>
      </c>
      <c r="D3">
        <v>24</v>
      </c>
    </row>
    <row r="4" spans="1:4" x14ac:dyDescent="0.25">
      <c r="A4" t="s">
        <v>146</v>
      </c>
      <c r="B4" t="s">
        <v>13</v>
      </c>
      <c r="C4" s="6">
        <v>1.4</v>
      </c>
      <c r="D4">
        <v>10</v>
      </c>
    </row>
    <row r="5" spans="1:4" x14ac:dyDescent="0.25">
      <c r="A5" t="s">
        <v>147</v>
      </c>
      <c r="B5" t="s">
        <v>14</v>
      </c>
      <c r="C5" s="6">
        <v>1.5</v>
      </c>
      <c r="D5">
        <v>12</v>
      </c>
    </row>
    <row r="6" spans="1:4" x14ac:dyDescent="0.25">
      <c r="A6" t="s">
        <v>148</v>
      </c>
      <c r="B6" t="s">
        <v>15</v>
      </c>
      <c r="C6" s="6">
        <v>1.1000000000000001</v>
      </c>
      <c r="D6">
        <v>12</v>
      </c>
    </row>
    <row r="7" spans="1:4" x14ac:dyDescent="0.25">
      <c r="A7" t="s">
        <v>149</v>
      </c>
      <c r="B7" t="s">
        <v>16</v>
      </c>
      <c r="C7" s="6">
        <v>1.23</v>
      </c>
      <c r="D7">
        <v>12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G13"/>
  <sheetViews>
    <sheetView workbookViewId="0">
      <selection activeCell="C8" sqref="C8"/>
    </sheetView>
  </sheetViews>
  <sheetFormatPr defaultRowHeight="15" x14ac:dyDescent="0.25"/>
  <sheetData>
    <row r="4" spans="2:7" x14ac:dyDescent="0.25">
      <c r="B4">
        <v>1</v>
      </c>
      <c r="C4">
        <v>2</v>
      </c>
      <c r="D4">
        <v>12</v>
      </c>
      <c r="E4">
        <v>13</v>
      </c>
      <c r="F4">
        <v>15</v>
      </c>
      <c r="G4">
        <v>16</v>
      </c>
    </row>
    <row r="5" spans="2:7" x14ac:dyDescent="0.25">
      <c r="B5" t="s">
        <v>0</v>
      </c>
      <c r="C5" t="s">
        <v>1</v>
      </c>
      <c r="D5" t="s">
        <v>137</v>
      </c>
      <c r="E5" t="s">
        <v>141</v>
      </c>
      <c r="F5" t="s">
        <v>56</v>
      </c>
      <c r="G5" t="s">
        <v>142</v>
      </c>
    </row>
    <row r="8" spans="2:7" x14ac:dyDescent="0.25">
      <c r="B8">
        <f t="array" ref="B8:C13">TRANSPOSE(B4:G5)</f>
        <v>1</v>
      </c>
      <c r="C8" t="str">
        <v>Malcolm</v>
      </c>
    </row>
    <row r="9" spans="2:7" x14ac:dyDescent="0.25">
      <c r="B9">
        <v>2</v>
      </c>
      <c r="C9" t="str">
        <v>James</v>
      </c>
    </row>
    <row r="10" spans="2:7" x14ac:dyDescent="0.25">
      <c r="B10">
        <v>12</v>
      </c>
      <c r="C10" t="str">
        <v>Tim</v>
      </c>
    </row>
    <row r="11" spans="2:7" x14ac:dyDescent="0.25">
      <c r="B11">
        <v>13</v>
      </c>
      <c r="C11" t="str">
        <v>Jimmy</v>
      </c>
    </row>
    <row r="12" spans="2:7" x14ac:dyDescent="0.25">
      <c r="B12">
        <v>15</v>
      </c>
      <c r="C12" t="str">
        <v>Heather</v>
      </c>
    </row>
    <row r="13" spans="2:7" x14ac:dyDescent="0.25">
      <c r="B13">
        <v>16</v>
      </c>
      <c r="C13" t="str">
        <v>Sarah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I11" sqref="I11"/>
    </sheetView>
  </sheetViews>
  <sheetFormatPr defaultRowHeight="15" x14ac:dyDescent="0.25"/>
  <cols>
    <col min="2" max="2" width="21.85546875" customWidth="1"/>
    <col min="3" max="3" width="14.140625" customWidth="1"/>
  </cols>
  <sheetData>
    <row r="3" spans="2:3" x14ac:dyDescent="0.25">
      <c r="B3" t="s">
        <v>165</v>
      </c>
      <c r="C3">
        <v>2</v>
      </c>
    </row>
    <row r="4" spans="2:3" x14ac:dyDescent="0.25">
      <c r="B4" t="s">
        <v>164</v>
      </c>
      <c r="C4" t="str">
        <f>LOOKUP(C3,{1,2,3,4,5,6,7;"Sunday","Monday","Tuesday","Wednesday","Thursday","Friday","Saturday"})</f>
        <v>Monday</v>
      </c>
    </row>
    <row r="6" spans="2:3" x14ac:dyDescent="0.25">
      <c r="C6" s="63"/>
    </row>
    <row r="8" spans="2:3" x14ac:dyDescent="0.25">
      <c r="B8" t="s">
        <v>164</v>
      </c>
      <c r="C8" t="s">
        <v>166</v>
      </c>
    </row>
    <row r="9" spans="2:3" x14ac:dyDescent="0.25">
      <c r="B9" t="s">
        <v>165</v>
      </c>
      <c r="C9" t="str">
        <f>INDEX({"domenica","lunedì","martedì","mercoledì","giovedì","venerdì","sabato"},MATCH(C8,{"Sunday","Monday","Tuesday","Wednesday","Thursday","Friday","Saturday"},0))</f>
        <v>mercoledì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Price List</vt:lpstr>
      <vt:lpstr>Temperature</vt:lpstr>
      <vt:lpstr>Student Grades</vt:lpstr>
      <vt:lpstr>Sales</vt:lpstr>
      <vt:lpstr>Wind Scale</vt:lpstr>
      <vt:lpstr>2 way table</vt:lpstr>
      <vt:lpstr>Servicing</vt:lpstr>
      <vt:lpstr>Purchase Order</vt:lpstr>
      <vt:lpstr>Customers</vt:lpstr>
      <vt:lpstr>Products</vt:lpstr>
      <vt:lpstr>Transpose</vt:lpstr>
      <vt:lpstr>Arrays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Hall</dc:creator>
  <cp:lastModifiedBy>Malcolm Hall</cp:lastModifiedBy>
  <dcterms:created xsi:type="dcterms:W3CDTF">2016-03-01T14:10:16Z</dcterms:created>
  <dcterms:modified xsi:type="dcterms:W3CDTF">2016-03-21T07:18:50Z</dcterms:modified>
</cp:coreProperties>
</file>